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0"/>
  <workbookPr/>
  <mc:AlternateContent xmlns:mc="http://schemas.openxmlformats.org/markup-compatibility/2006">
    <mc:Choice Requires="x15">
      <x15ac:absPath xmlns:x15ac="http://schemas.microsoft.com/office/spreadsheetml/2010/11/ac" url="https://iggroupla-my.sharepoint.com/personal/soporte-ingenieria_iggroupla_onmicrosoft_com/Documents/Escritorio/Pendientes de IG/CMC Colombia 2024/"/>
    </mc:Choice>
  </mc:AlternateContent>
  <xr:revisionPtr revIDLastSave="14" documentId="8_{5F427153-ED9E-4119-9F7E-F6232ED8FFD5}" xr6:coauthVersionLast="47" xr6:coauthVersionMax="47" xr10:uidLastSave="{55A97644-EB90-4270-AE78-7FB1FE9FC092}"/>
  <bookViews>
    <workbookView xWindow="19090" yWindow="-2370" windowWidth="19420" windowHeight="10300" firstSheet="2" activeTab="2" xr2:uid="{00000000-000D-0000-FFFF-FFFF00000000}"/>
  </bookViews>
  <sheets>
    <sheet name="Inversión" sheetId="6" r:id="rId1"/>
    <sheet name="Proyección del Mes" sheetId="1" r:id="rId2"/>
    <sheet name="Flujo de Caja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4" i="1"/>
  <c r="E3" i="1"/>
  <c r="C8" i="6"/>
  <c r="C7" i="6"/>
  <c r="C1" i="6" s="1"/>
  <c r="B3" i="2" l="1"/>
  <c r="C5" i="1"/>
  <c r="G1" i="6" s="1"/>
  <c r="E13" i="1" l="1"/>
  <c r="H3" i="2" l="1"/>
  <c r="G3" i="2"/>
  <c r="D31" i="1"/>
  <c r="D32" i="1"/>
  <c r="G31" i="1"/>
  <c r="G32" i="1"/>
  <c r="G4" i="6" s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3" i="1"/>
  <c r="G4" i="1"/>
  <c r="E32" i="1" l="1"/>
  <c r="G3" i="6" s="1"/>
  <c r="G2" i="6" s="1"/>
  <c r="D5" i="2"/>
  <c r="D9" i="2"/>
  <c r="D13" i="2"/>
  <c r="D17" i="2"/>
  <c r="D21" i="2"/>
  <c r="D25" i="2"/>
  <c r="D12" i="2"/>
  <c r="D20" i="2"/>
  <c r="D4" i="2"/>
  <c r="D6" i="2"/>
  <c r="D10" i="2"/>
  <c r="D14" i="2"/>
  <c r="D18" i="2"/>
  <c r="D22" i="2"/>
  <c r="D26" i="2"/>
  <c r="D7" i="2"/>
  <c r="D11" i="2"/>
  <c r="D15" i="2"/>
  <c r="D19" i="2"/>
  <c r="D23" i="2"/>
  <c r="D27" i="2"/>
  <c r="D8" i="2"/>
  <c r="D16" i="2"/>
  <c r="D24" i="2"/>
  <c r="H5" i="1"/>
  <c r="B33" i="2"/>
  <c r="B6" i="2" s="1"/>
  <c r="E31" i="1"/>
  <c r="H31" i="1" s="1"/>
  <c r="E27" i="1"/>
  <c r="H27" i="1" s="1"/>
  <c r="E23" i="1"/>
  <c r="H23" i="1" s="1"/>
  <c r="E19" i="1"/>
  <c r="H19" i="1" s="1"/>
  <c r="E15" i="1"/>
  <c r="H15" i="1" s="1"/>
  <c r="E11" i="1"/>
  <c r="H11" i="1" s="1"/>
  <c r="E7" i="1"/>
  <c r="H7" i="1" s="1"/>
  <c r="E28" i="1"/>
  <c r="H28" i="1" s="1"/>
  <c r="E24" i="1"/>
  <c r="H24" i="1" s="1"/>
  <c r="E20" i="1"/>
  <c r="H20" i="1" s="1"/>
  <c r="E16" i="1"/>
  <c r="H16" i="1" s="1"/>
  <c r="E12" i="1"/>
  <c r="H12" i="1" s="1"/>
  <c r="E8" i="1"/>
  <c r="H8" i="1" s="1"/>
  <c r="H3" i="1"/>
  <c r="E30" i="1"/>
  <c r="H30" i="1" s="1"/>
  <c r="E26" i="1"/>
  <c r="H26" i="1" s="1"/>
  <c r="E22" i="1"/>
  <c r="H22" i="1" s="1"/>
  <c r="E18" i="1"/>
  <c r="H18" i="1" s="1"/>
  <c r="E14" i="1"/>
  <c r="H14" i="1" s="1"/>
  <c r="E10" i="1"/>
  <c r="H10" i="1" s="1"/>
  <c r="E6" i="1"/>
  <c r="H6" i="1" s="1"/>
  <c r="H4" i="1"/>
  <c r="E29" i="1"/>
  <c r="H29" i="1" s="1"/>
  <c r="E25" i="1"/>
  <c r="H25" i="1" s="1"/>
  <c r="E21" i="1"/>
  <c r="H21" i="1" s="1"/>
  <c r="E17" i="1"/>
  <c r="H17" i="1" s="1"/>
  <c r="H13" i="1"/>
  <c r="E9" i="1"/>
  <c r="H9" i="1" s="1"/>
  <c r="B7" i="2" l="1"/>
  <c r="B14" i="2"/>
  <c r="B8" i="2"/>
  <c r="B9" i="2"/>
  <c r="B11" i="2"/>
  <c r="B13" i="2"/>
  <c r="B10" i="2"/>
  <c r="B12" i="2"/>
  <c r="B4" i="2"/>
  <c r="B5" i="2"/>
  <c r="H32" i="1"/>
  <c r="B26" i="2" l="1"/>
  <c r="B25" i="2"/>
  <c r="B24" i="2"/>
  <c r="B23" i="2"/>
  <c r="B22" i="2"/>
  <c r="B21" i="2"/>
  <c r="B20" i="2"/>
  <c r="B19" i="2"/>
  <c r="B18" i="2"/>
  <c r="B17" i="2"/>
  <c r="B16" i="2"/>
  <c r="B27" i="2"/>
  <c r="B15" i="2"/>
  <c r="C5" i="2"/>
  <c r="C9" i="2"/>
  <c r="C13" i="2"/>
  <c r="C17" i="2"/>
  <c r="C21" i="2"/>
  <c r="C25" i="2"/>
  <c r="C4" i="2"/>
  <c r="C8" i="2"/>
  <c r="C12" i="2"/>
  <c r="C16" i="2"/>
  <c r="C20" i="2"/>
  <c r="C24" i="2"/>
  <c r="C6" i="2"/>
  <c r="C10" i="2"/>
  <c r="C14" i="2"/>
  <c r="C18" i="2"/>
  <c r="C22" i="2"/>
  <c r="C26" i="2"/>
  <c r="C7" i="2"/>
  <c r="C11" i="2"/>
  <c r="C15" i="2"/>
  <c r="C19" i="2"/>
  <c r="C23" i="2"/>
  <c r="C27" i="2"/>
  <c r="G8" i="2" l="1"/>
  <c r="F7" i="2"/>
  <c r="F10" i="2"/>
  <c r="F9" i="2"/>
  <c r="F23" i="2"/>
  <c r="F14" i="2"/>
  <c r="F20" i="2"/>
  <c r="F13" i="2"/>
  <c r="F19" i="2"/>
  <c r="F25" i="2"/>
  <c r="F15" i="2"/>
  <c r="F22" i="2"/>
  <c r="F6" i="2"/>
  <c r="F12" i="2"/>
  <c r="F21" i="2"/>
  <c r="F5" i="2"/>
  <c r="F26" i="2"/>
  <c r="F16" i="2"/>
  <c r="F27" i="2"/>
  <c r="F11" i="2"/>
  <c r="F18" i="2"/>
  <c r="F24" i="2"/>
  <c r="F8" i="2"/>
  <c r="F17" i="2"/>
  <c r="G13" i="2"/>
  <c r="H9" i="2"/>
  <c r="H14" i="2"/>
  <c r="G5" i="2"/>
  <c r="H22" i="2"/>
  <c r="H19" i="2"/>
  <c r="H15" i="2"/>
  <c r="H17" i="2"/>
  <c r="H6" i="2"/>
  <c r="H27" i="2"/>
  <c r="G7" i="2"/>
  <c r="G12" i="2"/>
  <c r="G4" i="2"/>
  <c r="G18" i="2"/>
  <c r="G20" i="2"/>
  <c r="G15" i="2"/>
  <c r="G25" i="2"/>
  <c r="H5" i="2"/>
  <c r="G19" i="2"/>
  <c r="G27" i="2"/>
  <c r="H25" i="2"/>
  <c r="H4" i="2"/>
  <c r="H20" i="2"/>
  <c r="H24" i="2"/>
  <c r="H7" i="2"/>
  <c r="F4" i="2"/>
  <c r="H12" i="2"/>
  <c r="G23" i="2"/>
  <c r="G14" i="2"/>
  <c r="G6" i="2"/>
  <c r="G16" i="2"/>
  <c r="G22" i="2"/>
  <c r="G11" i="2"/>
  <c r="H26" i="2"/>
  <c r="G26" i="2"/>
  <c r="G24" i="2"/>
  <c r="H16" i="2"/>
  <c r="G9" i="2"/>
  <c r="H13" i="2"/>
  <c r="H18" i="2"/>
  <c r="H10" i="2"/>
  <c r="H23" i="2"/>
  <c r="H21" i="2"/>
  <c r="G10" i="2"/>
  <c r="G21" i="2"/>
  <c r="H8" i="2"/>
  <c r="H11" i="2"/>
  <c r="G17" i="2"/>
</calcChain>
</file>

<file path=xl/sharedStrings.xml><?xml version="1.0" encoding="utf-8"?>
<sst xmlns="http://schemas.openxmlformats.org/spreadsheetml/2006/main" count="70" uniqueCount="43">
  <si>
    <t>Equipos</t>
  </si>
  <si>
    <t>Costos Fijos</t>
  </si>
  <si>
    <t>Horno</t>
  </si>
  <si>
    <t>Costos Variables</t>
  </si>
  <si>
    <t>Ralladora</t>
  </si>
  <si>
    <t>Costos Totales Operacionales Mes</t>
  </si>
  <si>
    <t>Escabiladora</t>
  </si>
  <si>
    <t>Ingresos Mes</t>
  </si>
  <si>
    <t>Congelador</t>
  </si>
  <si>
    <t xml:space="preserve">Gramera </t>
  </si>
  <si>
    <t>Mesas metálicas</t>
  </si>
  <si>
    <t>Masa adicional</t>
  </si>
  <si>
    <t>Sillas y Mesas (5)</t>
  </si>
  <si>
    <t xml:space="preserve">Mesas </t>
  </si>
  <si>
    <t>Imprevistos</t>
  </si>
  <si>
    <t>Caja</t>
  </si>
  <si>
    <t>Lozalizadores</t>
  </si>
  <si>
    <t>Dia</t>
  </si>
  <si>
    <t>Costo Operacional</t>
  </si>
  <si>
    <t>Egresos Acumulados</t>
  </si>
  <si>
    <t>Ventas Netas</t>
  </si>
  <si>
    <t>Ingresos Acumulados</t>
  </si>
  <si>
    <t>I-E</t>
  </si>
  <si>
    <t>Dias Operacionales</t>
  </si>
  <si>
    <t>Arriendo</t>
  </si>
  <si>
    <t>Sábado</t>
  </si>
  <si>
    <t>Sueldos</t>
  </si>
  <si>
    <t>Domingo</t>
  </si>
  <si>
    <t>Servicios</t>
  </si>
  <si>
    <t>Lunes</t>
  </si>
  <si>
    <t>Martes</t>
  </si>
  <si>
    <t>Miércoles</t>
  </si>
  <si>
    <t>Jueves</t>
  </si>
  <si>
    <t>Viernes</t>
  </si>
  <si>
    <t>Mes</t>
  </si>
  <si>
    <t>Egresos</t>
  </si>
  <si>
    <t>Ingresos</t>
  </si>
  <si>
    <t>% Ingr.</t>
  </si>
  <si>
    <t>Flujos de Caja</t>
  </si>
  <si>
    <t>TIR</t>
  </si>
  <si>
    <t>Egresos variables</t>
  </si>
  <si>
    <t>Equi / Oper PROD</t>
  </si>
  <si>
    <t>I - E (Acumulado)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</si>
</sst>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;[Red]\-&quot;$&quot;#,##0.00"/>
    <numFmt numFmtId="165" formatCode="_-&quot;$&quot;* #,##0.00_-;\-&quot;$&quot;* #,##0.00_-;_-&quot;$&quot;* &quot;-&quot;??_-;_-@_-"/>
    <numFmt numFmtId="166" formatCode="0.000%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theme="0"/>
      </patternFill>
    </fill>
    <fill>
      <patternFill patternType="solid">
        <fgColor theme="7" tint="0.59999389629810485"/>
        <bgColor theme="0"/>
      </patternFill>
    </fill>
    <fill>
      <patternFill patternType="solid">
        <fgColor theme="9" tint="0.5999938962981048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center" vertical="center"/>
    </xf>
    <xf numFmtId="165" fontId="0" fillId="0" borderId="0" xfId="1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0" fontId="0" fillId="0" borderId="0" xfId="2" applyNumberFormat="1" applyFont="1" applyAlignment="1">
      <alignment horizontal="center" vertical="center"/>
    </xf>
    <xf numFmtId="9" fontId="0" fillId="0" borderId="0" xfId="1" applyNumberFormat="1" applyFont="1" applyAlignment="1">
      <alignment horizontal="center" vertical="center"/>
    </xf>
    <xf numFmtId="164" fontId="0" fillId="2" borderId="0" xfId="1" applyNumberFormat="1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65" fontId="0" fillId="3" borderId="1" xfId="1" applyFont="1" applyFill="1" applyBorder="1" applyAlignment="1">
      <alignment horizontal="center" vertical="center"/>
    </xf>
    <xf numFmtId="165" fontId="0" fillId="0" borderId="1" xfId="1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2" fillId="5" borderId="1" xfId="1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65" fontId="0" fillId="7" borderId="1" xfId="1" applyFont="1" applyFill="1" applyBorder="1" applyAlignment="1">
      <alignment horizontal="center" vertical="center"/>
    </xf>
    <xf numFmtId="165" fontId="0" fillId="8" borderId="1" xfId="1" applyFont="1" applyFill="1" applyBorder="1" applyAlignment="1">
      <alignment horizontal="center" vertical="center"/>
    </xf>
    <xf numFmtId="165" fontId="0" fillId="6" borderId="1" xfId="1" applyFont="1" applyFill="1" applyBorder="1" applyAlignment="1">
      <alignment horizontal="center" vertical="center"/>
    </xf>
    <xf numFmtId="165" fontId="0" fillId="9" borderId="1" xfId="1" applyFont="1" applyFill="1" applyBorder="1" applyAlignment="1">
      <alignment horizontal="center" vertical="center"/>
    </xf>
    <xf numFmtId="164" fontId="0" fillId="6" borderId="1" xfId="1" applyNumberFormat="1" applyFon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165" fontId="0" fillId="7" borderId="2" xfId="1" applyFon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165" fontId="0" fillId="8" borderId="4" xfId="1" applyFont="1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165" fontId="0" fillId="6" borderId="8" xfId="1" applyFont="1" applyFill="1" applyBorder="1" applyAlignment="1">
      <alignment horizontal="center" vertical="center"/>
    </xf>
    <xf numFmtId="14" fontId="0" fillId="6" borderId="0" xfId="0" applyNumberFormat="1" applyFill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165" fontId="0" fillId="6" borderId="10" xfId="1" applyFont="1" applyFill="1" applyBorder="1" applyAlignment="1">
      <alignment horizontal="center" vertical="center"/>
    </xf>
    <xf numFmtId="165" fontId="0" fillId="6" borderId="0" xfId="1" applyFont="1" applyFill="1" applyBorder="1" applyAlignment="1">
      <alignment horizontal="center" vertical="center"/>
    </xf>
    <xf numFmtId="164" fontId="0" fillId="6" borderId="0" xfId="1" applyNumberFormat="1" applyFont="1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165" fontId="2" fillId="4" borderId="0" xfId="1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164" fontId="2" fillId="4" borderId="0" xfId="1" applyNumberFormat="1" applyFont="1" applyFill="1" applyAlignment="1">
      <alignment horizontal="center" vertical="center" wrapText="1"/>
    </xf>
    <xf numFmtId="0" fontId="0" fillId="10" borderId="0" xfId="0" applyFill="1" applyAlignment="1">
      <alignment horizontal="center" vertical="center"/>
    </xf>
    <xf numFmtId="165" fontId="0" fillId="2" borderId="0" xfId="1" applyFon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/>
    </xf>
    <xf numFmtId="165" fontId="3" fillId="2" borderId="0" xfId="1" applyFont="1" applyFill="1" applyAlignment="1">
      <alignment horizontal="center" vertical="center"/>
    </xf>
    <xf numFmtId="0" fontId="0" fillId="11" borderId="0" xfId="0" applyFill="1" applyAlignment="1">
      <alignment horizontal="center" vertical="center"/>
    </xf>
    <xf numFmtId="165" fontId="4" fillId="0" borderId="0" xfId="1" applyFont="1" applyAlignment="1">
      <alignment horizontal="center" vertical="center"/>
    </xf>
    <xf numFmtId="164" fontId="4" fillId="0" borderId="0" xfId="1" applyNumberFormat="1" applyFont="1" applyAlignment="1">
      <alignment horizontal="center" vertical="center"/>
    </xf>
    <xf numFmtId="166" fontId="0" fillId="0" borderId="0" xfId="2" applyNumberFormat="1" applyFont="1" applyAlignment="1">
      <alignment horizontal="center" vertical="center"/>
    </xf>
    <xf numFmtId="0" fontId="5" fillId="12" borderId="1" xfId="0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/>
    </xf>
    <xf numFmtId="165" fontId="2" fillId="12" borderId="1" xfId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64" fontId="2" fillId="5" borderId="1" xfId="1" applyNumberFormat="1" applyFont="1" applyFill="1" applyBorder="1" applyAlignment="1">
      <alignment horizontal="center" vertical="center"/>
    </xf>
    <xf numFmtId="165" fontId="2" fillId="5" borderId="1" xfId="1" applyFont="1" applyFill="1" applyBorder="1" applyAlignment="1">
      <alignment horizontal="center" vertical="center" wrapText="1"/>
    </xf>
    <xf numFmtId="165" fontId="2" fillId="5" borderId="1" xfId="1" applyFont="1" applyFill="1" applyBorder="1" applyAlignment="1">
      <alignment horizontal="center" vertical="center"/>
    </xf>
    <xf numFmtId="165" fontId="2" fillId="4" borderId="0" xfId="1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991D0-960C-41E0-A889-5D51EFB68F03}">
  <dimension ref="A1:G13"/>
  <sheetViews>
    <sheetView zoomScale="120" zoomScaleNormal="120" workbookViewId="0">
      <selection activeCell="G8" sqref="G8"/>
    </sheetView>
  </sheetViews>
  <sheetFormatPr defaultColWidth="11.42578125" defaultRowHeight="14.45"/>
  <cols>
    <col min="1" max="1" width="3" bestFit="1" customWidth="1"/>
    <col min="2" max="2" width="14.5703125" bestFit="1" customWidth="1"/>
    <col min="3" max="3" width="18.28515625" customWidth="1"/>
    <col min="6" max="6" width="35.5703125" customWidth="1"/>
    <col min="7" max="7" width="14.85546875" bestFit="1" customWidth="1"/>
  </cols>
  <sheetData>
    <row r="1" spans="1:7">
      <c r="A1" s="9"/>
      <c r="B1" s="48" t="s">
        <v>0</v>
      </c>
      <c r="C1" s="49">
        <f>SUM(C2:C13)</f>
        <v>26040000</v>
      </c>
      <c r="F1" s="46" t="s">
        <v>1</v>
      </c>
      <c r="G1" s="11">
        <f>SUM('Proyección del Mes'!C3:C32)</f>
        <v>5200000</v>
      </c>
    </row>
    <row r="2" spans="1:7">
      <c r="A2" s="9">
        <v>1</v>
      </c>
      <c r="B2" s="9" t="s">
        <v>2</v>
      </c>
      <c r="C2" s="10">
        <v>4000000</v>
      </c>
      <c r="F2" s="46" t="s">
        <v>3</v>
      </c>
      <c r="G2" s="11">
        <f>G3-G1</f>
        <v>5208950</v>
      </c>
    </row>
    <row r="3" spans="1:7">
      <c r="A3" s="9">
        <v>2</v>
      </c>
      <c r="B3" s="9" t="s">
        <v>4</v>
      </c>
      <c r="C3" s="10">
        <v>2600000</v>
      </c>
      <c r="F3" s="47" t="s">
        <v>5</v>
      </c>
      <c r="G3" s="12">
        <f>'Proyección del Mes'!E32</f>
        <v>10408950</v>
      </c>
    </row>
    <row r="4" spans="1:7">
      <c r="A4" s="9">
        <v>3</v>
      </c>
      <c r="B4" s="9" t="s">
        <v>6</v>
      </c>
      <c r="C4" s="10">
        <v>4000000</v>
      </c>
      <c r="F4" s="46" t="s">
        <v>7</v>
      </c>
      <c r="G4" s="12">
        <f>'Proyección del Mes'!G32</f>
        <v>18431233.928571429</v>
      </c>
    </row>
    <row r="5" spans="1:7">
      <c r="A5" s="9">
        <v>4</v>
      </c>
      <c r="B5" s="9" t="s">
        <v>8</v>
      </c>
      <c r="C5" s="10">
        <v>1545000</v>
      </c>
    </row>
    <row r="6" spans="1:7">
      <c r="A6" s="9">
        <v>5</v>
      </c>
      <c r="B6" s="9" t="s">
        <v>9</v>
      </c>
      <c r="C6" s="10">
        <v>250000</v>
      </c>
    </row>
    <row r="7" spans="1:7">
      <c r="A7" s="9">
        <v>6</v>
      </c>
      <c r="B7" s="9" t="s">
        <v>10</v>
      </c>
      <c r="C7" s="10">
        <f>2*1700000</f>
        <v>3400000</v>
      </c>
    </row>
    <row r="8" spans="1:7">
      <c r="A8" s="9">
        <v>7</v>
      </c>
      <c r="B8" s="9" t="s">
        <v>11</v>
      </c>
      <c r="C8" s="10">
        <f>1850000*0.5</f>
        <v>925000</v>
      </c>
    </row>
    <row r="9" spans="1:7">
      <c r="A9" s="9">
        <v>8</v>
      </c>
      <c r="B9" s="9" t="s">
        <v>12</v>
      </c>
      <c r="C9" s="10">
        <v>2120000</v>
      </c>
    </row>
    <row r="10" spans="1:7">
      <c r="A10" s="9">
        <v>9</v>
      </c>
      <c r="B10" s="9" t="s">
        <v>13</v>
      </c>
      <c r="C10" s="10">
        <v>1200000</v>
      </c>
    </row>
    <row r="11" spans="1:7">
      <c r="A11" s="9">
        <v>10</v>
      </c>
      <c r="B11" s="9" t="s">
        <v>14</v>
      </c>
      <c r="C11" s="10">
        <v>2000000</v>
      </c>
    </row>
    <row r="12" spans="1:7">
      <c r="A12" s="9">
        <v>11</v>
      </c>
      <c r="B12" s="9" t="s">
        <v>15</v>
      </c>
      <c r="C12" s="10">
        <v>1500000</v>
      </c>
    </row>
    <row r="13" spans="1:7">
      <c r="A13" s="9">
        <v>12</v>
      </c>
      <c r="B13" s="9" t="s">
        <v>16</v>
      </c>
      <c r="C13" s="10">
        <v>2500000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zoomScale="87" workbookViewId="0">
      <pane xSplit="1" ySplit="2" topLeftCell="B3" activePane="bottomRight" state="frozen"/>
      <selection pane="bottomRight" activeCell="K10" sqref="K10"/>
      <selection pane="bottomLeft" activeCell="A3" sqref="A3"/>
      <selection pane="topRight" activeCell="C1" sqref="C1"/>
    </sheetView>
  </sheetViews>
  <sheetFormatPr defaultColWidth="11.42578125" defaultRowHeight="14.45"/>
  <cols>
    <col min="1" max="1" width="11.42578125" style="14"/>
    <col min="2" max="2" width="17.7109375" style="14" customWidth="1"/>
    <col min="3" max="3" width="17.42578125" style="32" customWidth="1"/>
    <col min="4" max="7" width="21.7109375" style="32" customWidth="1"/>
    <col min="8" max="8" width="15.28515625" style="33" bestFit="1" customWidth="1"/>
    <col min="9" max="16384" width="11.42578125" style="14"/>
  </cols>
  <sheetData>
    <row r="1" spans="1:11" ht="15" customHeight="1">
      <c r="A1" s="51" t="s">
        <v>17</v>
      </c>
      <c r="B1" s="53" t="s">
        <v>18</v>
      </c>
      <c r="C1" s="53"/>
      <c r="D1" s="53"/>
      <c r="E1" s="54" t="s">
        <v>19</v>
      </c>
      <c r="F1" s="53" t="s">
        <v>20</v>
      </c>
      <c r="G1" s="53" t="s">
        <v>21</v>
      </c>
      <c r="H1" s="52" t="s">
        <v>22</v>
      </c>
      <c r="I1" s="50" t="s">
        <v>23</v>
      </c>
    </row>
    <row r="2" spans="1:11">
      <c r="A2" s="51"/>
      <c r="B2" s="54" t="s">
        <v>1</v>
      </c>
      <c r="C2" s="54"/>
      <c r="D2" s="13" t="s">
        <v>3</v>
      </c>
      <c r="E2" s="54"/>
      <c r="F2" s="53"/>
      <c r="G2" s="53"/>
      <c r="H2" s="52"/>
      <c r="I2" s="50"/>
    </row>
    <row r="3" spans="1:11">
      <c r="A3" s="15">
        <v>1</v>
      </c>
      <c r="B3" s="15" t="s">
        <v>24</v>
      </c>
      <c r="C3" s="16">
        <v>2000000</v>
      </c>
      <c r="D3" s="17">
        <v>173750</v>
      </c>
      <c r="E3" s="17">
        <f>SUM($C$3:$C$5)+D3</f>
        <v>5373750</v>
      </c>
      <c r="F3" s="18">
        <v>803750</v>
      </c>
      <c r="G3" s="19">
        <f>F3</f>
        <v>803750</v>
      </c>
      <c r="H3" s="20">
        <f>G3-E3</f>
        <v>-4570000</v>
      </c>
      <c r="I3" s="15" t="s">
        <v>25</v>
      </c>
    </row>
    <row r="4" spans="1:11">
      <c r="A4" s="15">
        <v>2</v>
      </c>
      <c r="B4" s="15" t="s">
        <v>26</v>
      </c>
      <c r="C4" s="16">
        <v>2600000</v>
      </c>
      <c r="D4" s="17">
        <v>0</v>
      </c>
      <c r="E4" s="17">
        <f>SUM($C$3:$C$5)+D4</f>
        <v>5200000</v>
      </c>
      <c r="F4" s="18">
        <v>569700</v>
      </c>
      <c r="G4" s="19">
        <f>SUM($F$3:F4)</f>
        <v>1373450</v>
      </c>
      <c r="H4" s="20">
        <f t="shared" ref="H4:H32" si="0">G4-E4</f>
        <v>-3826550</v>
      </c>
      <c r="I4" s="15" t="s">
        <v>27</v>
      </c>
    </row>
    <row r="5" spans="1:11">
      <c r="A5" s="15">
        <v>3</v>
      </c>
      <c r="B5" s="21" t="s">
        <v>28</v>
      </c>
      <c r="C5" s="22">
        <f>120000+250000+80000+150000</f>
        <v>600000</v>
      </c>
      <c r="D5" s="17">
        <v>256700</v>
      </c>
      <c r="E5" s="17">
        <f>SUM($C$3:$C$5)+D5</f>
        <v>5456700</v>
      </c>
      <c r="F5" s="18">
        <v>369900</v>
      </c>
      <c r="G5" s="19">
        <f>SUM($F$3:F5)</f>
        <v>1743350</v>
      </c>
      <c r="H5" s="20">
        <f t="shared" si="0"/>
        <v>-3713350</v>
      </c>
      <c r="I5" s="15" t="s">
        <v>29</v>
      </c>
    </row>
    <row r="6" spans="1:11">
      <c r="A6" s="23">
        <v>4</v>
      </c>
      <c r="B6" s="24"/>
      <c r="C6" s="25"/>
      <c r="D6" s="26">
        <v>268350</v>
      </c>
      <c r="E6" s="17">
        <f>SUM($C$3:D6)</f>
        <v>5898800</v>
      </c>
      <c r="F6" s="18">
        <v>700200</v>
      </c>
      <c r="G6" s="19">
        <f>SUM($F$3:F6)</f>
        <v>2443550</v>
      </c>
      <c r="H6" s="20">
        <f t="shared" si="0"/>
        <v>-3455250</v>
      </c>
      <c r="I6" s="15" t="s">
        <v>30</v>
      </c>
    </row>
    <row r="7" spans="1:11">
      <c r="A7" s="23">
        <v>5</v>
      </c>
      <c r="B7" s="27"/>
      <c r="C7" s="28"/>
      <c r="D7" s="26">
        <v>330000</v>
      </c>
      <c r="E7" s="17">
        <f>SUM($C$3:D7)</f>
        <v>6228800</v>
      </c>
      <c r="F7" s="18">
        <v>633500</v>
      </c>
      <c r="G7" s="19">
        <f>SUM($F$3:F7)</f>
        <v>3077050</v>
      </c>
      <c r="H7" s="20">
        <f t="shared" si="0"/>
        <v>-3151750</v>
      </c>
      <c r="I7" s="15" t="s">
        <v>31</v>
      </c>
    </row>
    <row r="8" spans="1:11">
      <c r="A8" s="23">
        <v>6</v>
      </c>
      <c r="B8" s="27"/>
      <c r="C8" s="28"/>
      <c r="D8" s="26">
        <v>0</v>
      </c>
      <c r="E8" s="17">
        <f>SUM($C$3:D8)</f>
        <v>6228800</v>
      </c>
      <c r="F8" s="18">
        <v>554000</v>
      </c>
      <c r="G8" s="19">
        <f>SUM($F$3:F8)</f>
        <v>3631050</v>
      </c>
      <c r="H8" s="20">
        <f t="shared" si="0"/>
        <v>-2597750</v>
      </c>
      <c r="I8" s="15" t="s">
        <v>32</v>
      </c>
    </row>
    <row r="9" spans="1:11">
      <c r="A9" s="23">
        <v>7</v>
      </c>
      <c r="B9" s="27"/>
      <c r="C9" s="28"/>
      <c r="D9" s="26">
        <v>230000</v>
      </c>
      <c r="E9" s="17">
        <f>SUM($C$3:D9)</f>
        <v>6458800</v>
      </c>
      <c r="F9" s="18">
        <v>680000</v>
      </c>
      <c r="G9" s="19">
        <f>SUM($F$3:F9)</f>
        <v>4311050</v>
      </c>
      <c r="H9" s="20">
        <f t="shared" si="0"/>
        <v>-2147750</v>
      </c>
      <c r="I9" s="15" t="s">
        <v>33</v>
      </c>
    </row>
    <row r="10" spans="1:11">
      <c r="A10" s="23">
        <v>8</v>
      </c>
      <c r="B10" s="27"/>
      <c r="C10" s="28"/>
      <c r="D10" s="26">
        <v>173750</v>
      </c>
      <c r="E10" s="17">
        <f>SUM($C$3:D10)</f>
        <v>6632550</v>
      </c>
      <c r="F10" s="18">
        <v>803750</v>
      </c>
      <c r="G10" s="19">
        <f>SUM($F$3:F10)</f>
        <v>5114800</v>
      </c>
      <c r="H10" s="20">
        <f t="shared" si="0"/>
        <v>-1517750</v>
      </c>
      <c r="I10" s="15" t="s">
        <v>25</v>
      </c>
    </row>
    <row r="11" spans="1:11">
      <c r="A11" s="23">
        <v>9</v>
      </c>
      <c r="B11" s="27"/>
      <c r="C11" s="28"/>
      <c r="D11" s="26">
        <v>0</v>
      </c>
      <c r="E11" s="17">
        <f>SUM($C$3:D11)</f>
        <v>6632550</v>
      </c>
      <c r="F11" s="18">
        <v>569700</v>
      </c>
      <c r="G11" s="19">
        <f>SUM($F$3:F11)</f>
        <v>5684500</v>
      </c>
      <c r="H11" s="20">
        <f t="shared" si="0"/>
        <v>-948050</v>
      </c>
      <c r="I11" s="15" t="s">
        <v>27</v>
      </c>
    </row>
    <row r="12" spans="1:11">
      <c r="A12" s="23">
        <v>10</v>
      </c>
      <c r="B12" s="27"/>
      <c r="C12" s="28"/>
      <c r="D12" s="26">
        <v>256700</v>
      </c>
      <c r="E12" s="17">
        <f>SUM($C$3:D12)</f>
        <v>6889250</v>
      </c>
      <c r="F12" s="18">
        <v>369900</v>
      </c>
      <c r="G12" s="19">
        <f>SUM($F$3:F12)</f>
        <v>6054400</v>
      </c>
      <c r="H12" s="20">
        <f t="shared" si="0"/>
        <v>-834850</v>
      </c>
      <c r="I12" s="15" t="s">
        <v>29</v>
      </c>
    </row>
    <row r="13" spans="1:11">
      <c r="A13" s="23">
        <v>11</v>
      </c>
      <c r="B13" s="27"/>
      <c r="C13" s="28"/>
      <c r="D13" s="26">
        <v>268350</v>
      </c>
      <c r="E13" s="17">
        <f>SUM($C$3:D13)</f>
        <v>7157600</v>
      </c>
      <c r="F13" s="18">
        <v>700200</v>
      </c>
      <c r="G13" s="19">
        <f>SUM($F$3:F13)</f>
        <v>6754600</v>
      </c>
      <c r="H13" s="20">
        <f t="shared" si="0"/>
        <v>-403000</v>
      </c>
      <c r="I13" s="15" t="s">
        <v>30</v>
      </c>
      <c r="K13" s="29"/>
    </row>
    <row r="14" spans="1:11">
      <c r="A14" s="34">
        <v>12</v>
      </c>
      <c r="B14" s="27"/>
      <c r="C14" s="28"/>
      <c r="D14" s="26">
        <v>330000</v>
      </c>
      <c r="E14" s="17">
        <f>SUM($C$3:D14)</f>
        <v>7487600</v>
      </c>
      <c r="F14" s="18">
        <v>633500</v>
      </c>
      <c r="G14" s="19">
        <f>SUM($F$3:F14)</f>
        <v>7388100</v>
      </c>
      <c r="H14" s="20">
        <f t="shared" si="0"/>
        <v>-99500</v>
      </c>
      <c r="I14" s="15" t="s">
        <v>31</v>
      </c>
      <c r="K14" s="29"/>
    </row>
    <row r="15" spans="1:11">
      <c r="A15" s="23">
        <v>13</v>
      </c>
      <c r="B15" s="27"/>
      <c r="C15" s="28"/>
      <c r="D15" s="26">
        <v>0</v>
      </c>
      <c r="E15" s="17">
        <f>SUM($C$3:D15)</f>
        <v>7487600</v>
      </c>
      <c r="F15" s="18">
        <v>554000</v>
      </c>
      <c r="G15" s="19">
        <f>SUM($F$3:F15)</f>
        <v>7942100</v>
      </c>
      <c r="H15" s="20">
        <f t="shared" si="0"/>
        <v>454500</v>
      </c>
      <c r="I15" s="15" t="s">
        <v>32</v>
      </c>
    </row>
    <row r="16" spans="1:11">
      <c r="A16" s="23">
        <v>14</v>
      </c>
      <c r="B16" s="27"/>
      <c r="C16" s="28"/>
      <c r="D16" s="26">
        <v>230000</v>
      </c>
      <c r="E16" s="17">
        <f>SUM($C$3:D16)</f>
        <v>7717600</v>
      </c>
      <c r="F16" s="18">
        <v>680000</v>
      </c>
      <c r="G16" s="19">
        <f>SUM($F$3:F16)</f>
        <v>8622100</v>
      </c>
      <c r="H16" s="20">
        <f t="shared" si="0"/>
        <v>904500</v>
      </c>
      <c r="I16" s="15" t="s">
        <v>33</v>
      </c>
    </row>
    <row r="17" spans="1:9">
      <c r="A17" s="23">
        <v>15</v>
      </c>
      <c r="B17" s="27"/>
      <c r="C17" s="28"/>
      <c r="D17" s="26">
        <v>173750</v>
      </c>
      <c r="E17" s="17">
        <f>SUM($C$3:D17)</f>
        <v>7891350</v>
      </c>
      <c r="F17" s="18">
        <v>803750</v>
      </c>
      <c r="G17" s="19">
        <f>SUM($F$3:F17)</f>
        <v>9425850</v>
      </c>
      <c r="H17" s="20">
        <f t="shared" si="0"/>
        <v>1534500</v>
      </c>
      <c r="I17" s="15" t="s">
        <v>25</v>
      </c>
    </row>
    <row r="18" spans="1:9">
      <c r="A18" s="23">
        <v>16</v>
      </c>
      <c r="B18" s="27"/>
      <c r="C18" s="28"/>
      <c r="D18" s="26">
        <v>0</v>
      </c>
      <c r="E18" s="17">
        <f>SUM($C$3:D18)</f>
        <v>7891350</v>
      </c>
      <c r="F18" s="18">
        <v>569700</v>
      </c>
      <c r="G18" s="19">
        <f>SUM($F$3:F18)</f>
        <v>9995550</v>
      </c>
      <c r="H18" s="20">
        <f t="shared" si="0"/>
        <v>2104200</v>
      </c>
      <c r="I18" s="15" t="s">
        <v>27</v>
      </c>
    </row>
    <row r="19" spans="1:9">
      <c r="A19" s="23">
        <v>17</v>
      </c>
      <c r="B19" s="27"/>
      <c r="C19" s="28"/>
      <c r="D19" s="26">
        <v>256700</v>
      </c>
      <c r="E19" s="17">
        <f>SUM($C$3:D19)</f>
        <v>8148050</v>
      </c>
      <c r="F19" s="18">
        <v>369900</v>
      </c>
      <c r="G19" s="19">
        <f>SUM($F$3:F19)</f>
        <v>10365450</v>
      </c>
      <c r="H19" s="20">
        <f t="shared" si="0"/>
        <v>2217400</v>
      </c>
      <c r="I19" s="15" t="s">
        <v>29</v>
      </c>
    </row>
    <row r="20" spans="1:9">
      <c r="A20" s="23">
        <v>18</v>
      </c>
      <c r="B20" s="27"/>
      <c r="C20" s="28"/>
      <c r="D20" s="26">
        <v>268350</v>
      </c>
      <c r="E20" s="17">
        <f>SUM($C$3:D20)</f>
        <v>8416400</v>
      </c>
      <c r="F20" s="18">
        <v>700200</v>
      </c>
      <c r="G20" s="19">
        <f>SUM($F$3:F20)</f>
        <v>11065650</v>
      </c>
      <c r="H20" s="20">
        <f t="shared" si="0"/>
        <v>2649250</v>
      </c>
      <c r="I20" s="15" t="s">
        <v>30</v>
      </c>
    </row>
    <row r="21" spans="1:9">
      <c r="A21" s="23">
        <v>19</v>
      </c>
      <c r="B21" s="27"/>
      <c r="C21" s="28"/>
      <c r="D21" s="26">
        <v>330000</v>
      </c>
      <c r="E21" s="17">
        <f>SUM($C$3:D21)</f>
        <v>8746400</v>
      </c>
      <c r="F21" s="18">
        <v>633500</v>
      </c>
      <c r="G21" s="19">
        <f>SUM($F$3:F21)</f>
        <v>11699150</v>
      </c>
      <c r="H21" s="20">
        <f t="shared" si="0"/>
        <v>2952750</v>
      </c>
      <c r="I21" s="15" t="s">
        <v>31</v>
      </c>
    </row>
    <row r="22" spans="1:9">
      <c r="A22" s="23">
        <v>20</v>
      </c>
      <c r="B22" s="27"/>
      <c r="C22" s="28"/>
      <c r="D22" s="26">
        <v>0</v>
      </c>
      <c r="E22" s="17">
        <f>SUM($C$3:D22)</f>
        <v>8746400</v>
      </c>
      <c r="F22" s="18">
        <v>554000</v>
      </c>
      <c r="G22" s="19">
        <f>SUM($F$3:F22)</f>
        <v>12253150</v>
      </c>
      <c r="H22" s="20">
        <f t="shared" si="0"/>
        <v>3506750</v>
      </c>
      <c r="I22" s="15" t="s">
        <v>32</v>
      </c>
    </row>
    <row r="23" spans="1:9">
      <c r="A23" s="23">
        <v>21</v>
      </c>
      <c r="B23" s="27"/>
      <c r="C23" s="28"/>
      <c r="D23" s="26">
        <v>230000</v>
      </c>
      <c r="E23" s="17">
        <f>SUM($C$3:D23)</f>
        <v>8976400</v>
      </c>
      <c r="F23" s="18">
        <v>680000</v>
      </c>
      <c r="G23" s="19">
        <f>SUM($F$3:F23)</f>
        <v>12933150</v>
      </c>
      <c r="H23" s="20">
        <f t="shared" si="0"/>
        <v>3956750</v>
      </c>
      <c r="I23" s="15" t="s">
        <v>33</v>
      </c>
    </row>
    <row r="24" spans="1:9">
      <c r="A24" s="23">
        <v>22</v>
      </c>
      <c r="B24" s="27"/>
      <c r="C24" s="28"/>
      <c r="D24" s="26">
        <v>173750</v>
      </c>
      <c r="E24" s="17">
        <f>SUM($C$3:D24)</f>
        <v>9150150</v>
      </c>
      <c r="F24" s="18">
        <v>803750</v>
      </c>
      <c r="G24" s="19">
        <f>SUM($F$3:F24)</f>
        <v>13736900</v>
      </c>
      <c r="H24" s="20">
        <f t="shared" si="0"/>
        <v>4586750</v>
      </c>
      <c r="I24" s="15" t="s">
        <v>25</v>
      </c>
    </row>
    <row r="25" spans="1:9">
      <c r="A25" s="23">
        <v>23</v>
      </c>
      <c r="B25" s="27"/>
      <c r="C25" s="28"/>
      <c r="D25" s="26">
        <v>0</v>
      </c>
      <c r="E25" s="17">
        <f>SUM($C$3:D25)</f>
        <v>9150150</v>
      </c>
      <c r="F25" s="18">
        <v>569700</v>
      </c>
      <c r="G25" s="19">
        <f>SUM($F$3:F25)</f>
        <v>14306600</v>
      </c>
      <c r="H25" s="20">
        <f t="shared" si="0"/>
        <v>5156450</v>
      </c>
      <c r="I25" s="15" t="s">
        <v>27</v>
      </c>
    </row>
    <row r="26" spans="1:9">
      <c r="A26" s="23">
        <v>24</v>
      </c>
      <c r="B26" s="27"/>
      <c r="C26" s="28"/>
      <c r="D26" s="26">
        <v>256700</v>
      </c>
      <c r="E26" s="17">
        <f>SUM($C$3:D26)</f>
        <v>9406850</v>
      </c>
      <c r="F26" s="18">
        <v>369900</v>
      </c>
      <c r="G26" s="19">
        <f>SUM($F$3:F26)</f>
        <v>14676500</v>
      </c>
      <c r="H26" s="20">
        <f t="shared" si="0"/>
        <v>5269650</v>
      </c>
      <c r="I26" s="15" t="s">
        <v>29</v>
      </c>
    </row>
    <row r="27" spans="1:9">
      <c r="A27" s="23">
        <v>25</v>
      </c>
      <c r="B27" s="27"/>
      <c r="C27" s="28"/>
      <c r="D27" s="26">
        <v>268350</v>
      </c>
      <c r="E27" s="17">
        <f>SUM($C$3:D27)</f>
        <v>9675200</v>
      </c>
      <c r="F27" s="18">
        <v>700200</v>
      </c>
      <c r="G27" s="19">
        <f>SUM($F$3:F27)</f>
        <v>15376700</v>
      </c>
      <c r="H27" s="20">
        <f t="shared" si="0"/>
        <v>5701500</v>
      </c>
      <c r="I27" s="15" t="s">
        <v>30</v>
      </c>
    </row>
    <row r="28" spans="1:9">
      <c r="A28" s="23">
        <v>26</v>
      </c>
      <c r="B28" s="27"/>
      <c r="C28" s="28"/>
      <c r="D28" s="26">
        <v>330000</v>
      </c>
      <c r="E28" s="17">
        <f>SUM($C$3:D28)</f>
        <v>10005200</v>
      </c>
      <c r="F28" s="18">
        <v>633500</v>
      </c>
      <c r="G28" s="19">
        <f>SUM($F$3:F28)</f>
        <v>16010200</v>
      </c>
      <c r="H28" s="20">
        <f t="shared" si="0"/>
        <v>6005000</v>
      </c>
      <c r="I28" s="15" t="s">
        <v>31</v>
      </c>
    </row>
    <row r="29" spans="1:9">
      <c r="A29" s="23">
        <v>27</v>
      </c>
      <c r="B29" s="27"/>
      <c r="C29" s="28"/>
      <c r="D29" s="26">
        <v>0</v>
      </c>
      <c r="E29" s="17">
        <f>SUM($C$3:D29)</f>
        <v>10005200</v>
      </c>
      <c r="F29" s="18">
        <v>554000</v>
      </c>
      <c r="G29" s="19">
        <f>SUM($F$3:F29)</f>
        <v>16564200</v>
      </c>
      <c r="H29" s="20">
        <f t="shared" si="0"/>
        <v>6559000</v>
      </c>
      <c r="I29" s="15" t="s">
        <v>32</v>
      </c>
    </row>
    <row r="30" spans="1:9">
      <c r="A30" s="23">
        <v>28</v>
      </c>
      <c r="B30" s="27"/>
      <c r="C30" s="28"/>
      <c r="D30" s="26">
        <v>230000</v>
      </c>
      <c r="E30" s="17">
        <f>SUM($C$3:D30)</f>
        <v>10235200</v>
      </c>
      <c r="F30" s="18">
        <v>680000</v>
      </c>
      <c r="G30" s="19">
        <f>SUM($F$3:F30)</f>
        <v>17244200</v>
      </c>
      <c r="H30" s="20">
        <f t="shared" si="0"/>
        <v>7009000</v>
      </c>
      <c r="I30" s="15" t="s">
        <v>33</v>
      </c>
    </row>
    <row r="31" spans="1:9">
      <c r="A31" s="23">
        <v>29</v>
      </c>
      <c r="B31" s="27"/>
      <c r="C31" s="28"/>
      <c r="D31" s="26">
        <f>D24</f>
        <v>173750</v>
      </c>
      <c r="E31" s="17">
        <f>SUM($C$3:D31)</f>
        <v>10408950</v>
      </c>
      <c r="F31" s="18">
        <v>596000</v>
      </c>
      <c r="G31" s="19">
        <f>SUM($F$3:F31)</f>
        <v>17840200</v>
      </c>
      <c r="H31" s="20">
        <f t="shared" si="0"/>
        <v>7431250</v>
      </c>
      <c r="I31" s="15" t="s">
        <v>25</v>
      </c>
    </row>
    <row r="32" spans="1:9">
      <c r="A32" s="34">
        <v>30</v>
      </c>
      <c r="B32" s="30"/>
      <c r="C32" s="31"/>
      <c r="D32" s="26">
        <f>D25</f>
        <v>0</v>
      </c>
      <c r="E32" s="17">
        <f>SUM($C$3:D32)</f>
        <v>10408950</v>
      </c>
      <c r="F32" s="18">
        <v>591033.92857142806</v>
      </c>
      <c r="G32" s="19">
        <f>SUM($F$3:F32)</f>
        <v>18431233.928571429</v>
      </c>
      <c r="H32" s="20">
        <f t="shared" si="0"/>
        <v>8022283.9285714291</v>
      </c>
      <c r="I32" s="15" t="s">
        <v>27</v>
      </c>
    </row>
    <row r="34" spans="3:3">
      <c r="C34" s="14"/>
    </row>
  </sheetData>
  <mergeCells count="8">
    <mergeCell ref="I1:I2"/>
    <mergeCell ref="A1:A2"/>
    <mergeCell ref="H1:H2"/>
    <mergeCell ref="F1:F2"/>
    <mergeCell ref="B2:C2"/>
    <mergeCell ref="B1:D1"/>
    <mergeCell ref="E1:E2"/>
    <mergeCell ref="G1:G2"/>
  </mergeCells>
  <conditionalFormatting sqref="F3:F3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3"/>
  <sheetViews>
    <sheetView tabSelected="1" zoomScale="113" workbookViewId="0">
      <pane xSplit="2" ySplit="2" topLeftCell="C3" activePane="bottomRight" state="frozen"/>
      <selection pane="bottomRight" activeCell="K8" sqref="K8"/>
      <selection pane="bottomLeft" activeCell="A3" sqref="A3"/>
      <selection pane="topRight" activeCell="C1" sqref="C1"/>
    </sheetView>
  </sheetViews>
  <sheetFormatPr defaultColWidth="11.42578125" defaultRowHeight="14.45"/>
  <cols>
    <col min="1" max="1" width="11.42578125" style="1"/>
    <col min="2" max="2" width="16.7109375" style="1" customWidth="1"/>
    <col min="3" max="3" width="17.7109375" style="1" customWidth="1"/>
    <col min="4" max="4" width="16.28515625" style="2" bestFit="1" customWidth="1"/>
    <col min="5" max="5" width="9.5703125" style="2" customWidth="1"/>
    <col min="6" max="6" width="14.42578125" style="2" bestFit="1" customWidth="1"/>
    <col min="7" max="7" width="16.28515625" style="2" bestFit="1" customWidth="1"/>
    <col min="8" max="8" width="8.7109375" style="4" bestFit="1" customWidth="1"/>
    <col min="9" max="16384" width="11.42578125" style="1"/>
  </cols>
  <sheetData>
    <row r="1" spans="1:8" s="8" customFormat="1">
      <c r="A1" s="56" t="s">
        <v>34</v>
      </c>
      <c r="B1" s="56" t="s">
        <v>35</v>
      </c>
      <c r="C1" s="56"/>
      <c r="D1" s="55" t="s">
        <v>36</v>
      </c>
      <c r="E1" s="55" t="s">
        <v>37</v>
      </c>
      <c r="F1" s="55" t="s">
        <v>38</v>
      </c>
      <c r="G1" s="55"/>
      <c r="H1" s="55" t="s">
        <v>39</v>
      </c>
    </row>
    <row r="2" spans="1:8" s="8" customFormat="1" ht="28.9">
      <c r="A2" s="56"/>
      <c r="B2" s="36" t="s">
        <v>1</v>
      </c>
      <c r="C2" s="35" t="s">
        <v>40</v>
      </c>
      <c r="D2" s="55"/>
      <c r="E2" s="55"/>
      <c r="F2" s="37" t="s">
        <v>41</v>
      </c>
      <c r="G2" s="37" t="s">
        <v>42</v>
      </c>
      <c r="H2" s="55"/>
    </row>
    <row r="3" spans="1:8">
      <c r="A3" s="1">
        <v>0</v>
      </c>
      <c r="B3" s="41">
        <f>Inversión!C1</f>
        <v>26040000</v>
      </c>
      <c r="C3" s="39">
        <v>0</v>
      </c>
      <c r="D3" s="2">
        <v>0</v>
      </c>
      <c r="F3" s="4"/>
      <c r="G3" s="7">
        <f>D3-B3</f>
        <v>-26040000</v>
      </c>
      <c r="H3" s="5">
        <f>(D3/SUM($B$3:C3))-100%</f>
        <v>-1</v>
      </c>
    </row>
    <row r="4" spans="1:8">
      <c r="A4" s="38">
        <v>1</v>
      </c>
      <c r="B4" s="40">
        <f t="shared" ref="B4:B14" si="0">$B$33</f>
        <v>5200000</v>
      </c>
      <c r="C4" s="39">
        <f>(Inversión!$G$3-Inversión!$G$1)*E4</f>
        <v>1041790</v>
      </c>
      <c r="D4" s="2">
        <f>Inversión!$G$4*E4</f>
        <v>3686246.7857142859</v>
      </c>
      <c r="E4" s="6">
        <v>0.2</v>
      </c>
      <c r="F4" s="4">
        <f t="shared" ref="F4:F27" si="1">D4-(B4+C4)</f>
        <v>-2555543.2142857141</v>
      </c>
      <c r="G4" s="7">
        <f>SUM($D$3:D4)-SUM($B$3:C4)</f>
        <v>-28595543.214285713</v>
      </c>
      <c r="H4" s="5">
        <f>(D4/SUM($B$3:C4))-100%</f>
        <v>-0.88581033499956829</v>
      </c>
    </row>
    <row r="5" spans="1:8">
      <c r="A5" s="38">
        <v>2</v>
      </c>
      <c r="B5" s="40">
        <f t="shared" si="0"/>
        <v>5200000</v>
      </c>
      <c r="C5" s="39">
        <f>(Inversión!$G$3-Inversión!$G$1)*E5</f>
        <v>1302237.5</v>
      </c>
      <c r="D5" s="2">
        <f>Inversión!$G$4*E5</f>
        <v>4607808.4821428573</v>
      </c>
      <c r="E5" s="6">
        <v>0.25</v>
      </c>
      <c r="F5" s="4">
        <f t="shared" si="1"/>
        <v>-1894429.0178571427</v>
      </c>
      <c r="G5" s="7">
        <f>SUM($D$3:D5)-SUM($B$3:C5)</f>
        <v>-30489972.232142858</v>
      </c>
      <c r="H5" s="5">
        <f>(SUM($D$3:D5)/SUM($B$3:C5))-100%</f>
        <v>-0.78614765400893072</v>
      </c>
    </row>
    <row r="6" spans="1:8">
      <c r="A6" s="38">
        <v>3</v>
      </c>
      <c r="B6" s="40">
        <f t="shared" si="0"/>
        <v>5200000</v>
      </c>
      <c r="C6" s="39">
        <f>(Inversión!$G$3-Inversión!$G$1)*E6</f>
        <v>1562685</v>
      </c>
      <c r="D6" s="2">
        <f>Inversión!$G$4*E6</f>
        <v>5529370.1785714282</v>
      </c>
      <c r="E6" s="6">
        <v>0.3</v>
      </c>
      <c r="F6" s="4">
        <f t="shared" si="1"/>
        <v>-1233314.8214285718</v>
      </c>
      <c r="G6" s="7">
        <f>SUM($D$3:D6)-SUM($B$3:C6)</f>
        <v>-31723287.053571429</v>
      </c>
      <c r="H6" s="5">
        <f>(SUM($D$3:D6)/SUM($B$3:C6))-100%</f>
        <v>-0.69650003946105721</v>
      </c>
    </row>
    <row r="7" spans="1:8">
      <c r="A7" s="38">
        <v>4</v>
      </c>
      <c r="B7" s="40">
        <f t="shared" si="0"/>
        <v>5200000</v>
      </c>
      <c r="C7" s="39">
        <f>(Inversión!$G$3-Inversión!$G$1)*E7</f>
        <v>1823132.5</v>
      </c>
      <c r="D7" s="2">
        <f>Inversión!$G$4*E7</f>
        <v>6450931.875</v>
      </c>
      <c r="E7" s="6">
        <v>0.35</v>
      </c>
      <c r="F7" s="4">
        <f t="shared" si="1"/>
        <v>-572200.625</v>
      </c>
      <c r="G7" s="7">
        <f>SUM($D$3:D7)-SUM($B$3:C7)</f>
        <v>-32295487.678571429</v>
      </c>
      <c r="H7" s="5">
        <f>(SUM($D$3:D7)/SUM($B$3:C7))-100%</f>
        <v>-0.61433484687983064</v>
      </c>
    </row>
    <row r="8" spans="1:8">
      <c r="A8" s="42">
        <v>5</v>
      </c>
      <c r="B8" s="40">
        <f t="shared" si="0"/>
        <v>5200000</v>
      </c>
      <c r="C8" s="39">
        <f>(Inversión!$G$3-Inversión!$G$1)*E8</f>
        <v>2083580</v>
      </c>
      <c r="D8" s="2">
        <f>Inversión!$G$4*E8</f>
        <v>7372493.5714285718</v>
      </c>
      <c r="E8" s="6">
        <v>0.4</v>
      </c>
      <c r="F8" s="4">
        <f t="shared" si="1"/>
        <v>88913.571428571828</v>
      </c>
      <c r="G8" s="7">
        <f>SUM($D$3:D8)-SUM($B$3:C8)</f>
        <v>-32206574.107142858</v>
      </c>
      <c r="H8" s="5">
        <f>(SUM($D$3:D8)/SUM($B$3:C8))-100%</f>
        <v>-0.53809074597055817</v>
      </c>
    </row>
    <row r="9" spans="1:8">
      <c r="A9" s="38">
        <v>6</v>
      </c>
      <c r="B9" s="40">
        <f t="shared" si="0"/>
        <v>5200000</v>
      </c>
      <c r="C9" s="39">
        <f>(Inversión!$G$3-Inversión!$G$1)*E9</f>
        <v>2344027.5</v>
      </c>
      <c r="D9" s="2">
        <f>Inversión!$G$4*E9</f>
        <v>8294055.2678571437</v>
      </c>
      <c r="E9" s="6">
        <v>0.45</v>
      </c>
      <c r="F9" s="4">
        <f t="shared" si="1"/>
        <v>750027.76785714366</v>
      </c>
      <c r="G9" s="7">
        <f>SUM($D$3:D9)-SUM($B$3:C9)</f>
        <v>-31456546.339285716</v>
      </c>
      <c r="H9" s="5">
        <f>(SUM($D$3:D9)/SUM($B$3:C9))-100%</f>
        <v>-0.46673197832344948</v>
      </c>
    </row>
    <row r="10" spans="1:8">
      <c r="A10" s="38">
        <v>7</v>
      </c>
      <c r="B10" s="40">
        <f t="shared" si="0"/>
        <v>5200000</v>
      </c>
      <c r="C10" s="39">
        <f>(Inversión!$G$3-Inversión!$G$1)*E10</f>
        <v>2604475</v>
      </c>
      <c r="D10" s="2">
        <f>Inversión!$G$4*E10</f>
        <v>9215616.9642857146</v>
      </c>
      <c r="E10" s="6">
        <v>0.5</v>
      </c>
      <c r="F10" s="4">
        <f t="shared" si="1"/>
        <v>1411141.9642857146</v>
      </c>
      <c r="G10" s="7">
        <f>SUM($D$3:D10)-SUM($B$3:C10)</f>
        <v>-30045404.375</v>
      </c>
      <c r="H10" s="5">
        <f>(SUM($D$3:D10)/SUM($B$3:C10))-100%</f>
        <v>-0.39952971118991598</v>
      </c>
    </row>
    <row r="11" spans="1:8">
      <c r="A11" s="38">
        <v>8</v>
      </c>
      <c r="B11" s="40">
        <f t="shared" si="0"/>
        <v>5200000</v>
      </c>
      <c r="C11" s="39">
        <f>(Inversión!$G$3-Inversión!$G$1)*E11</f>
        <v>2864922.5</v>
      </c>
      <c r="D11" s="2">
        <f>Inversión!$G$4*E11</f>
        <v>10137178.660714287</v>
      </c>
      <c r="E11" s="6">
        <v>0.55000000000000004</v>
      </c>
      <c r="F11" s="4">
        <f t="shared" si="1"/>
        <v>2072256.1607142873</v>
      </c>
      <c r="G11" s="7">
        <f>SUM($D$3:D11)-SUM($B$3:C11)</f>
        <v>-27973148.214285716</v>
      </c>
      <c r="H11" s="5">
        <f>(SUM($D$3:D11)/SUM($B$3:C11))-100%</f>
        <v>-0.33594579612757913</v>
      </c>
    </row>
    <row r="12" spans="1:8">
      <c r="A12" s="38">
        <v>9</v>
      </c>
      <c r="B12" s="40">
        <f t="shared" si="0"/>
        <v>5200000</v>
      </c>
      <c r="C12" s="39">
        <f>(Inversión!$G$3-Inversión!$G$1)*E12</f>
        <v>3125370</v>
      </c>
      <c r="D12" s="2">
        <f>Inversión!$G$4*E12</f>
        <v>11058740.357142856</v>
      </c>
      <c r="E12" s="6">
        <v>0.6</v>
      </c>
      <c r="F12" s="4">
        <f t="shared" si="1"/>
        <v>2733370.3571428563</v>
      </c>
      <c r="G12" s="7">
        <f>SUM($D$3:D12)-SUM($B$3:C12)</f>
        <v>-25239777.857142858</v>
      </c>
      <c r="H12" s="5">
        <f>(SUM($D$3:D12)/SUM($B$3:C12))-100%</f>
        <v>-0.27556683151847239</v>
      </c>
    </row>
    <row r="13" spans="1:8">
      <c r="A13" s="38">
        <v>10</v>
      </c>
      <c r="B13" s="40">
        <f t="shared" si="0"/>
        <v>5200000</v>
      </c>
      <c r="C13" s="39">
        <f>(Inversión!$G$3-Inversión!$G$1)*E13</f>
        <v>3385817.5</v>
      </c>
      <c r="D13" s="2">
        <f>Inversión!$G$4*E13</f>
        <v>11980302.053571429</v>
      </c>
      <c r="E13" s="6">
        <v>0.65</v>
      </c>
      <c r="F13" s="4">
        <f t="shared" si="1"/>
        <v>3394484.5535714291</v>
      </c>
      <c r="G13" s="7">
        <f>SUM($D$3:D13)-SUM($B$3:C13)</f>
        <v>-21845293.303571433</v>
      </c>
      <c r="H13" s="5">
        <f>(SUM($D$3:D13)/SUM($B$3:C13))-100%</f>
        <v>-0.21806469610239099</v>
      </c>
    </row>
    <row r="14" spans="1:8">
      <c r="A14" s="38">
        <v>11</v>
      </c>
      <c r="B14" s="40">
        <f t="shared" si="0"/>
        <v>5200000</v>
      </c>
      <c r="C14" s="39">
        <f>(Inversión!$G$3-Inversión!$G$1)*E14</f>
        <v>3646265</v>
      </c>
      <c r="D14" s="2">
        <f>Inversión!$G$4*E14</f>
        <v>12901863.75</v>
      </c>
      <c r="E14" s="6">
        <v>0.7</v>
      </c>
      <c r="F14" s="4">
        <f t="shared" si="1"/>
        <v>4055598.75</v>
      </c>
      <c r="G14" s="7">
        <f>SUM($D$3:D14)-SUM($B$3:C14)</f>
        <v>-17789694.553571433</v>
      </c>
      <c r="H14" s="5">
        <f>(SUM($D$3:D14)/SUM($B$3:C14))-100%</f>
        <v>-0.16317182633267879</v>
      </c>
    </row>
    <row r="15" spans="1:8">
      <c r="A15" s="38">
        <v>12</v>
      </c>
      <c r="B15" s="40">
        <f>$B$14*1.092</f>
        <v>5678400</v>
      </c>
      <c r="C15" s="39">
        <f>(Inversión!$G$3-Inversión!$G$1)*E15</f>
        <v>3906712.5</v>
      </c>
      <c r="D15" s="2">
        <f>Inversión!$G$4*E15</f>
        <v>13823425.446428571</v>
      </c>
      <c r="E15" s="6">
        <v>0.75</v>
      </c>
      <c r="F15" s="4">
        <f t="shared" si="1"/>
        <v>4238312.9464285709</v>
      </c>
      <c r="G15" s="7">
        <f>SUM($D$3:D15)-SUM($B$3:C15)</f>
        <v>-13551381.607142866</v>
      </c>
      <c r="H15" s="5">
        <f>(SUM($D$3:D15)/SUM($B$3:C15))-100%</f>
        <v>-0.11425215786742449</v>
      </c>
    </row>
    <row r="16" spans="1:8">
      <c r="A16" s="38">
        <v>13</v>
      </c>
      <c r="B16" s="40">
        <f t="shared" ref="B16:B27" si="2">$B$14*1.092</f>
        <v>5678400</v>
      </c>
      <c r="C16" s="39">
        <f>(Inversión!$G$3-Inversión!$G$1)*E16</f>
        <v>4167160</v>
      </c>
      <c r="D16" s="2">
        <f>Inversión!$G$4*E16</f>
        <v>14744987.142857144</v>
      </c>
      <c r="E16" s="6">
        <v>0.8</v>
      </c>
      <c r="F16" s="4">
        <f t="shared" si="1"/>
        <v>4899427.1428571437</v>
      </c>
      <c r="G16" s="7">
        <f>SUM($D$3:D16)-SUM($B$3:C16)</f>
        <v>-8651954.4642857164</v>
      </c>
      <c r="H16" s="5">
        <f>(SUM($D$3:D16)/SUM($B$3:C16))-100%</f>
        <v>-6.7353985038615449E-2</v>
      </c>
    </row>
    <row r="17" spans="1:10">
      <c r="A17" s="42">
        <v>14</v>
      </c>
      <c r="B17" s="40">
        <f t="shared" si="2"/>
        <v>5678400</v>
      </c>
      <c r="C17" s="39">
        <f>(Inversión!$G$3-Inversión!$G$1)*E17</f>
        <v>4427607.5</v>
      </c>
      <c r="D17" s="2">
        <f>Inversión!$G$4*E17</f>
        <v>15666548.839285715</v>
      </c>
      <c r="E17" s="6">
        <v>0.85</v>
      </c>
      <c r="F17" s="4">
        <f t="shared" si="1"/>
        <v>5560541.3392857146</v>
      </c>
      <c r="G17" s="7">
        <f>SUM($D$3:D17)-SUM($B$3:C17)</f>
        <v>-3091413.125</v>
      </c>
      <c r="H17" s="5">
        <f>(SUM($D$3:D17)/SUM($B$3:C17))-100%</f>
        <v>-2.2310848762926438E-2</v>
      </c>
    </row>
    <row r="18" spans="1:10">
      <c r="A18" s="38">
        <v>15</v>
      </c>
      <c r="B18" s="40">
        <f t="shared" si="2"/>
        <v>5678400</v>
      </c>
      <c r="C18" s="39">
        <f>(Inversión!$G$3-Inversión!$G$1)*E18</f>
        <v>4688055</v>
      </c>
      <c r="D18" s="2">
        <f>Inversión!$G$4*E18</f>
        <v>16588110.535714287</v>
      </c>
      <c r="E18" s="6">
        <v>0.9</v>
      </c>
      <c r="F18" s="4">
        <f t="shared" si="1"/>
        <v>6221655.5357142873</v>
      </c>
      <c r="G18" s="7">
        <f>SUM($D$3:D18)-SUM($B$3:C18)</f>
        <v>3130242.4107142985</v>
      </c>
      <c r="H18" s="5">
        <f>(SUM($D$3:D18)/SUM($B$3:C18))-100%</f>
        <v>2.1018574302094528E-2</v>
      </c>
    </row>
    <row r="19" spans="1:10">
      <c r="A19" s="38">
        <v>16</v>
      </c>
      <c r="B19" s="40">
        <f t="shared" si="2"/>
        <v>5678400</v>
      </c>
      <c r="C19" s="39">
        <f>(Inversión!$G$3-Inversión!$G$1)*E19</f>
        <v>4948502.5</v>
      </c>
      <c r="D19" s="2">
        <f>Inversión!$G$4*E19</f>
        <v>17509672.232142858</v>
      </c>
      <c r="E19" s="6">
        <v>0.95</v>
      </c>
      <c r="F19" s="4">
        <f t="shared" si="1"/>
        <v>6882769.7321428582</v>
      </c>
      <c r="G19" s="7">
        <f>SUM($D$3:D19)-SUM($B$3:C19)</f>
        <v>10013012.142857164</v>
      </c>
      <c r="H19" s="5">
        <f>(SUM($D$3:D19)/SUM($B$3:C19))-100%</f>
        <v>6.2756125235184257E-2</v>
      </c>
    </row>
    <row r="20" spans="1:10">
      <c r="A20" s="42">
        <v>17</v>
      </c>
      <c r="B20" s="40">
        <f t="shared" si="2"/>
        <v>5678400</v>
      </c>
      <c r="C20" s="39">
        <f>(Inversión!$G$3-Inversión!$G$1)*E20</f>
        <v>5208950</v>
      </c>
      <c r="D20" s="43">
        <f>Inversión!$G$4*E20</f>
        <v>18431233.928571429</v>
      </c>
      <c r="E20" s="6">
        <v>1</v>
      </c>
      <c r="F20" s="44">
        <f t="shared" si="1"/>
        <v>7543883.9285714291</v>
      </c>
      <c r="G20" s="7">
        <f>SUM($D$3:D20)-SUM($B$3:C20)</f>
        <v>17556896.071428597</v>
      </c>
      <c r="H20" s="5">
        <f>(SUM($D$3:D20)/SUM($B$3:C20))-100%</f>
        <v>0.10300822569541879</v>
      </c>
      <c r="J20" s="45"/>
    </row>
    <row r="21" spans="1:10">
      <c r="A21" s="38">
        <v>18</v>
      </c>
      <c r="B21" s="40">
        <f t="shared" si="2"/>
        <v>5678400</v>
      </c>
      <c r="C21" s="39">
        <f>(Inversión!$G$3-Inversión!$G$1)*E21</f>
        <v>5208950</v>
      </c>
      <c r="D21" s="2">
        <f>Inversión!$G$4*E21</f>
        <v>18431233.928571429</v>
      </c>
      <c r="E21" s="6">
        <v>1</v>
      </c>
      <c r="F21" s="4">
        <f t="shared" si="1"/>
        <v>7543883.9285714291</v>
      </c>
      <c r="G21" s="7">
        <f>SUM($D$3:D21)-SUM($B$3:C21)</f>
        <v>25100780.00000003</v>
      </c>
      <c r="H21" s="5">
        <f>(SUM($D$3:D21)/SUM($B$3:C21))-100%</f>
        <v>0.13842669657325724</v>
      </c>
    </row>
    <row r="22" spans="1:10">
      <c r="A22" s="38">
        <v>19</v>
      </c>
      <c r="B22" s="40">
        <f t="shared" si="2"/>
        <v>5678400</v>
      </c>
      <c r="C22" s="39">
        <f>(Inversión!$G$3-Inversión!$G$1)*E22</f>
        <v>5208950</v>
      </c>
      <c r="D22" s="2">
        <f>Inversión!$G$4*E22</f>
        <v>18431233.928571429</v>
      </c>
      <c r="E22" s="6">
        <v>1</v>
      </c>
      <c r="F22" s="4">
        <f t="shared" si="1"/>
        <v>7543883.9285714291</v>
      </c>
      <c r="G22" s="7">
        <f>SUM($D$3:D22)-SUM($B$3:C22)</f>
        <v>32644663.928571463</v>
      </c>
      <c r="H22" s="5">
        <f>(SUM($D$3:D22)/SUM($B$3:C22))-100%</f>
        <v>0.16983288432672916</v>
      </c>
    </row>
    <row r="23" spans="1:10">
      <c r="A23" s="38">
        <v>20</v>
      </c>
      <c r="B23" s="40">
        <f t="shared" si="2"/>
        <v>5678400</v>
      </c>
      <c r="C23" s="39">
        <f>(Inversión!$G$3-Inversión!$G$1)*E23</f>
        <v>5208950</v>
      </c>
      <c r="D23" s="2">
        <f>Inversión!$G$4*E23</f>
        <v>18431233.928571429</v>
      </c>
      <c r="E23" s="6">
        <v>1</v>
      </c>
      <c r="F23" s="4">
        <f t="shared" si="1"/>
        <v>7543883.9285714291</v>
      </c>
      <c r="G23" s="7">
        <f>SUM($D$3:D23)-SUM($B$3:C23)</f>
        <v>40188547.857142895</v>
      </c>
      <c r="H23" s="5">
        <f>(SUM($D$3:D23)/SUM($B$3:C23))-100%</f>
        <v>0.19787202272662685</v>
      </c>
    </row>
    <row r="24" spans="1:10">
      <c r="A24" s="38">
        <v>21</v>
      </c>
      <c r="B24" s="40">
        <f t="shared" si="2"/>
        <v>5678400</v>
      </c>
      <c r="C24" s="39">
        <f>(Inversión!$G$3-Inversión!$G$1)*E24</f>
        <v>5208950</v>
      </c>
      <c r="D24" s="2">
        <f>Inversión!$G$4*E24</f>
        <v>18431233.928571429</v>
      </c>
      <c r="E24" s="6">
        <v>1</v>
      </c>
      <c r="F24" s="4">
        <f t="shared" si="1"/>
        <v>7543883.9285714291</v>
      </c>
      <c r="G24" s="7">
        <f>SUM($D$3:D24)-SUM($B$3:C24)</f>
        <v>47732431.785714328</v>
      </c>
      <c r="H24" s="5">
        <f>(SUM($D$3:D24)/SUM($B$3:C24))-100%</f>
        <v>0.22305803379810962</v>
      </c>
    </row>
    <row r="25" spans="1:10">
      <c r="A25" s="38">
        <v>22</v>
      </c>
      <c r="B25" s="40">
        <f t="shared" si="2"/>
        <v>5678400</v>
      </c>
      <c r="C25" s="39">
        <f>(Inversión!$G$3-Inversión!$G$1)*E25</f>
        <v>5208950</v>
      </c>
      <c r="D25" s="2">
        <f>Inversión!$G$4*E25</f>
        <v>18431233.928571429</v>
      </c>
      <c r="E25" s="6">
        <v>1</v>
      </c>
      <c r="F25" s="4">
        <f t="shared" si="1"/>
        <v>7543883.9285714291</v>
      </c>
      <c r="G25" s="7">
        <f>SUM($D$3:D25)-SUM($B$3:C25)</f>
        <v>55276315.714285731</v>
      </c>
      <c r="H25" s="5">
        <f>(SUM($D$3:D25)/SUM($B$3:C25))-100%</f>
        <v>0.24580531470373823</v>
      </c>
    </row>
    <row r="26" spans="1:10">
      <c r="A26" s="38">
        <v>23</v>
      </c>
      <c r="B26" s="40">
        <f t="shared" si="2"/>
        <v>5678400</v>
      </c>
      <c r="C26" s="39">
        <f>(Inversión!$G$3-Inversión!$G$1)*E26</f>
        <v>5208950</v>
      </c>
      <c r="D26" s="2">
        <f>Inversión!$G$4*E26</f>
        <v>18431233.928571429</v>
      </c>
      <c r="E26" s="6">
        <v>1</v>
      </c>
      <c r="F26" s="4">
        <f t="shared" si="1"/>
        <v>7543883.9285714291</v>
      </c>
      <c r="G26" s="7">
        <f>SUM($D$3:D26)-SUM($B$3:C26)</f>
        <v>62820199.642857134</v>
      </c>
      <c r="H26" s="5">
        <f>(SUM($D$3:D26)/SUM($B$3:C26))-100%</f>
        <v>0.26645171737111273</v>
      </c>
    </row>
    <row r="27" spans="1:10">
      <c r="A27" s="38">
        <v>24</v>
      </c>
      <c r="B27" s="40">
        <f t="shared" si="2"/>
        <v>5678400</v>
      </c>
      <c r="C27" s="39">
        <f>(Inversión!$G$3-Inversión!$G$1)*E27</f>
        <v>5208950</v>
      </c>
      <c r="D27" s="2">
        <f>Inversión!$G$4*E27</f>
        <v>18431233.928571429</v>
      </c>
      <c r="E27" s="6">
        <v>1</v>
      </c>
      <c r="F27" s="4">
        <f t="shared" si="1"/>
        <v>7543883.9285714291</v>
      </c>
      <c r="G27" s="7">
        <f>SUM($D$3:D27)-SUM($B$3:C27)</f>
        <v>70364083.571428537</v>
      </c>
      <c r="H27" s="5">
        <f>(SUM($D$3:D27)/SUM($B$3:C27))-100%</f>
        <v>0.28527544215098399</v>
      </c>
    </row>
    <row r="32" spans="1:10">
      <c r="B32" s="5"/>
      <c r="C32" s="5"/>
    </row>
    <row r="33" spans="1:3">
      <c r="A33" s="1" t="s">
        <v>1</v>
      </c>
      <c r="B33" s="3">
        <f>Inversión!G1</f>
        <v>5200000</v>
      </c>
      <c r="C33" s="3"/>
    </row>
  </sheetData>
  <mergeCells count="6">
    <mergeCell ref="A1:A2"/>
    <mergeCell ref="H1:H2"/>
    <mergeCell ref="B1:C1"/>
    <mergeCell ref="F1:G1"/>
    <mergeCell ref="D1:D2"/>
    <mergeCell ref="E1:E2"/>
  </mergeCells>
  <conditionalFormatting sqref="E4:E27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3:H2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3C33CA3215034A9B71065C3BBCF5A3" ma:contentTypeVersion="18" ma:contentTypeDescription="Create a new document." ma:contentTypeScope="" ma:versionID="de0b579cac0dfc68084e4b265afd8076">
  <xsd:schema xmlns:xsd="http://www.w3.org/2001/XMLSchema" xmlns:xs="http://www.w3.org/2001/XMLSchema" xmlns:p="http://schemas.microsoft.com/office/2006/metadata/properties" xmlns:ns2="cde33698-54d1-4413-9454-ee6d5558439e" xmlns:ns3="d0569b8d-7120-4068-b452-55feebc5ffa4" targetNamespace="http://schemas.microsoft.com/office/2006/metadata/properties" ma:root="true" ma:fieldsID="56436c039e6f966a70e714824ad3ffd9" ns2:_="" ns3:_="">
    <xsd:import namespace="cde33698-54d1-4413-9454-ee6d5558439e"/>
    <xsd:import namespace="d0569b8d-7120-4068-b452-55feebc5ff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e33698-54d1-4413-9454-ee6d555843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8d14f57-bdb1-4570-a063-f73ac05c6f3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569b8d-7120-4068-b452-55feebc5ffa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27f1afe-7377-4824-bd59-0f1a45788c2a}" ma:internalName="TaxCatchAll" ma:showField="CatchAllData" ma:web="d0569b8d-7120-4068-b452-55feebc5ff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e33698-54d1-4413-9454-ee6d5558439e">
      <Terms xmlns="http://schemas.microsoft.com/office/infopath/2007/PartnerControls"/>
    </lcf76f155ced4ddcb4097134ff3c332f>
    <TaxCatchAll xmlns="d0569b8d-7120-4068-b452-55feebc5ffa4" xsi:nil="true"/>
  </documentManagement>
</p:properties>
</file>

<file path=customXml/itemProps1.xml><?xml version="1.0" encoding="utf-8"?>
<ds:datastoreItem xmlns:ds="http://schemas.openxmlformats.org/officeDocument/2006/customXml" ds:itemID="{272EBF4F-DE34-482C-B765-3855EB3A6CF6}"/>
</file>

<file path=customXml/itemProps2.xml><?xml version="1.0" encoding="utf-8"?>
<ds:datastoreItem xmlns:ds="http://schemas.openxmlformats.org/officeDocument/2006/customXml" ds:itemID="{FCBF7E67-A205-4F49-8149-141F15C62967}"/>
</file>

<file path=customXml/itemProps3.xml><?xml version="1.0" encoding="utf-8"?>
<ds:datastoreItem xmlns:ds="http://schemas.openxmlformats.org/officeDocument/2006/customXml" ds:itemID="{82840337-9C63-4DA7-B965-7AE5C7AFA3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Julio Flores</cp:lastModifiedBy>
  <cp:revision/>
  <dcterms:created xsi:type="dcterms:W3CDTF">2016-07-21T13:41:17Z</dcterms:created>
  <dcterms:modified xsi:type="dcterms:W3CDTF">2024-05-29T17:20:15Z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0x0101004B3C33CA3215034A9B71065C3BBCF5A3</vt:lpwstr>
  </property>
</Properties>
</file>